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  <c r="J43" i="1"/>
  <c r="G31" i="1"/>
  <c r="C31" i="1"/>
  <c r="G27" i="1"/>
  <c r="C27" i="1"/>
  <c r="J26" i="1"/>
  <c r="J25" i="1"/>
  <c r="I24" i="1"/>
  <c r="H24" i="1"/>
  <c r="G24" i="1"/>
  <c r="F24" i="1"/>
  <c r="E24" i="1"/>
  <c r="D24" i="1"/>
  <c r="C24" i="1"/>
  <c r="B24" i="1"/>
  <c r="F22" i="1"/>
  <c r="B22" i="1"/>
  <c r="I21" i="1"/>
  <c r="H21" i="1"/>
  <c r="G21" i="1"/>
  <c r="F21" i="1"/>
  <c r="E21" i="1"/>
  <c r="D21" i="1"/>
  <c r="C21" i="1"/>
  <c r="B21" i="1"/>
  <c r="J20" i="1"/>
  <c r="J19" i="1"/>
  <c r="J18" i="1"/>
  <c r="J17" i="1"/>
  <c r="I11" i="1"/>
  <c r="G11" i="1"/>
  <c r="E11" i="1"/>
  <c r="C11" i="1"/>
  <c r="I10" i="1"/>
  <c r="H10" i="1"/>
  <c r="G10" i="1"/>
  <c r="F10" i="1"/>
  <c r="E10" i="1"/>
  <c r="D10" i="1"/>
  <c r="C10" i="1"/>
  <c r="B10" i="1"/>
  <c r="J8" i="1"/>
  <c r="J7" i="1"/>
  <c r="J4" i="1"/>
  <c r="J23" i="1" s="1"/>
  <c r="C12" i="1" l="1"/>
  <c r="G12" i="1"/>
  <c r="K20" i="1"/>
  <c r="D12" i="1"/>
  <c r="H12" i="1"/>
  <c r="J10" i="1"/>
  <c r="J12" i="1" s="1"/>
  <c r="E12" i="1"/>
  <c r="I12" i="1"/>
  <c r="J44" i="1"/>
  <c r="I22" i="1"/>
  <c r="G22" i="1"/>
  <c r="E22" i="1"/>
  <c r="C22" i="1"/>
  <c r="B11" i="1"/>
  <c r="D11" i="1"/>
  <c r="F11" i="1"/>
  <c r="H11" i="1"/>
  <c r="K17" i="1"/>
  <c r="J31" i="1"/>
  <c r="H31" i="1"/>
  <c r="F31" i="1"/>
  <c r="D31" i="1"/>
  <c r="B31" i="1"/>
  <c r="K19" i="1"/>
  <c r="J21" i="1"/>
  <c r="K18" i="1" s="1"/>
  <c r="D22" i="1"/>
  <c r="H22" i="1"/>
  <c r="J24" i="1"/>
  <c r="J30" i="1" s="1"/>
  <c r="J27" i="1"/>
  <c r="H27" i="1"/>
  <c r="H30" i="1" s="1"/>
  <c r="F27" i="1"/>
  <c r="D27" i="1"/>
  <c r="D30" i="1" s="1"/>
  <c r="B27" i="1"/>
  <c r="E27" i="1"/>
  <c r="E30" i="1" s="1"/>
  <c r="I27" i="1"/>
  <c r="E31" i="1"/>
  <c r="I31" i="1"/>
  <c r="D29" i="1" l="1"/>
  <c r="K21" i="1"/>
  <c r="E29" i="1"/>
  <c r="I29" i="1"/>
  <c r="I30" i="1"/>
  <c r="F30" i="1"/>
  <c r="J22" i="1"/>
  <c r="E13" i="1"/>
  <c r="E14" i="1"/>
  <c r="H14" i="1"/>
  <c r="H13" i="1"/>
  <c r="D14" i="1"/>
  <c r="D13" i="1"/>
  <c r="G13" i="1"/>
  <c r="G14" i="1"/>
  <c r="H29" i="1"/>
  <c r="H28" i="1" s="1"/>
  <c r="H32" i="1"/>
  <c r="C32" i="1"/>
  <c r="C29" i="1"/>
  <c r="G32" i="1"/>
  <c r="G29" i="1"/>
  <c r="G30" i="1"/>
  <c r="C30" i="1"/>
  <c r="B30" i="1"/>
  <c r="I13" i="1"/>
  <c r="I14" i="1"/>
  <c r="J14" i="1"/>
  <c r="J13" i="1"/>
  <c r="F12" i="1"/>
  <c r="B12" i="1"/>
  <c r="C13" i="1"/>
  <c r="C14" i="1"/>
  <c r="C33" i="1" l="1"/>
  <c r="B14" i="1"/>
  <c r="B13" i="1"/>
  <c r="H33" i="1"/>
  <c r="H34" i="1"/>
  <c r="F14" i="1"/>
  <c r="F13" i="1"/>
  <c r="G28" i="1"/>
  <c r="G33" i="1" s="1"/>
  <c r="C28" i="1"/>
  <c r="C34" i="1" s="1"/>
  <c r="G34" i="1"/>
  <c r="J29" i="1"/>
  <c r="J28" i="1" s="1"/>
  <c r="J32" i="1"/>
  <c r="F29" i="1"/>
  <c r="F28" i="1" s="1"/>
  <c r="F32" i="1"/>
  <c r="B29" i="1"/>
  <c r="I32" i="1"/>
  <c r="I28" i="1" s="1"/>
  <c r="E32" i="1"/>
  <c r="E28" i="1" s="1"/>
  <c r="D32" i="1"/>
  <c r="D28" i="1" s="1"/>
  <c r="B32" i="1"/>
  <c r="D33" i="1" l="1"/>
  <c r="D34" i="1"/>
  <c r="I34" i="1"/>
  <c r="I33" i="1"/>
  <c r="E33" i="1"/>
  <c r="E34" i="1"/>
  <c r="J34" i="1" s="1"/>
  <c r="B28" i="1"/>
  <c r="B33" i="1" s="1"/>
  <c r="F33" i="1"/>
  <c r="F34" i="1"/>
  <c r="B34" i="1"/>
  <c r="J33" i="1" l="1"/>
  <c r="I40" i="1"/>
  <c r="E40" i="1"/>
  <c r="E38" i="1" s="1"/>
  <c r="E41" i="1" s="1"/>
  <c r="E42" i="1" s="1"/>
  <c r="F40" i="1"/>
  <c r="B40" i="1"/>
  <c r="G40" i="1"/>
  <c r="H40" i="1"/>
  <c r="H38" i="1" s="1"/>
  <c r="D40" i="1"/>
  <c r="D38" i="1" s="1"/>
  <c r="J38" i="1" s="1"/>
  <c r="C40" i="1"/>
  <c r="D41" i="1"/>
  <c r="D42" i="1" s="1"/>
  <c r="G41" i="1" l="1"/>
  <c r="G42" i="1" s="1"/>
  <c r="C41" i="1"/>
  <c r="C42" i="1" s="1"/>
  <c r="C37" i="1" s="1"/>
  <c r="C36" i="1" s="1"/>
  <c r="C45" i="1" s="1"/>
  <c r="I41" i="1"/>
  <c r="I42" i="1" s="1"/>
  <c r="I37" i="1" s="1"/>
  <c r="I36" i="1" s="1"/>
  <c r="I45" i="1" s="1"/>
  <c r="B41" i="1"/>
  <c r="B42" i="1" s="1"/>
  <c r="J42" i="1" s="1"/>
  <c r="E37" i="1" s="1"/>
  <c r="E36" i="1" s="1"/>
  <c r="E45" i="1" s="1"/>
  <c r="H41" i="1"/>
  <c r="H42" i="1" s="1"/>
  <c r="H37" i="1" s="1"/>
  <c r="H36" i="1" s="1"/>
  <c r="H45" i="1" s="1"/>
  <c r="J40" i="1"/>
  <c r="F41" i="1"/>
  <c r="F42" i="1" s="1"/>
  <c r="F37" i="1" s="1"/>
  <c r="F36" i="1" s="1"/>
  <c r="F45" i="1" s="1"/>
  <c r="J41" i="1"/>
  <c r="B37" i="1" l="1"/>
  <c r="D37" i="1"/>
  <c r="D36" i="1" s="1"/>
  <c r="D45" i="1" s="1"/>
  <c r="G37" i="1"/>
  <c r="G36" i="1" s="1"/>
  <c r="G45" i="1" s="1"/>
  <c r="B36" i="1" l="1"/>
  <c r="J37" i="1"/>
  <c r="J36" i="1" l="1"/>
  <c r="J45" i="1" s="1"/>
  <c r="B45" i="1"/>
</calcChain>
</file>

<file path=xl/sharedStrings.xml><?xml version="1.0" encoding="utf-8"?>
<sst xmlns="http://schemas.openxmlformats.org/spreadsheetml/2006/main" count="79" uniqueCount="74">
  <si>
    <t>Расчет дотации на выравнивание бюджетной обеспеченности поселений МО "Мелекесский район" Ульяновской области</t>
  </si>
  <si>
    <t>на 2017 год                                                 (расчет к бюджету)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</si>
  <si>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</si>
  <si>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</si>
  <si>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</si>
  <si>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</si>
  <si>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</si>
  <si>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</si>
  <si>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</si>
  <si>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</si>
  <si>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итого по поселениям</t>
  </si>
  <si>
    <t>Примечание</t>
  </si>
  <si>
    <t>Численность населения на 01.01.2016г., чел.</t>
  </si>
  <si>
    <t>Расчет доходного потенциала</t>
  </si>
  <si>
    <t>Налоги по репрезентативной системе, т.р.</t>
  </si>
  <si>
    <t>Основные налоги</t>
  </si>
  <si>
    <t>Налог на доходы физических лиц</t>
  </si>
  <si>
    <t>Налог на имущество физических лиц</t>
  </si>
  <si>
    <t>Земельный налог</t>
  </si>
  <si>
    <t>ИТОГО налоговый  потенциал, т.р.</t>
  </si>
  <si>
    <t>Дотация из бюджета района за счет субвенции из областного бюджета, т.р.</t>
  </si>
  <si>
    <t>Д=Субвенция / Численность населения в поселениях * Численность поселения</t>
  </si>
  <si>
    <t>Итого доходный потенциал, т.р.</t>
  </si>
  <si>
    <t>ДП = Налог.потенциал + дотация из бюджета области</t>
  </si>
  <si>
    <t>доходный потенциал на одного человека</t>
  </si>
  <si>
    <t>Индекс доходного потенциала (ИДП)</t>
  </si>
  <si>
    <t>ИДП=(ДПпос/числ пос)/(ДП общий/числ.общ)</t>
  </si>
  <si>
    <t>Расчет бюджетных расходов</t>
  </si>
  <si>
    <t>Расходы по репрезентативной системе, т.р.</t>
  </si>
  <si>
    <t>Доля расходов в составе репрезентивной системы</t>
  </si>
  <si>
    <t>Органы местного самоуправления</t>
  </si>
  <si>
    <t>Содержание объектов культуры</t>
  </si>
  <si>
    <t>Содержание пожарных депо</t>
  </si>
  <si>
    <t>МКУ Техническое обслуживание</t>
  </si>
  <si>
    <t>Итого расходов по репрезентативной системе</t>
  </si>
  <si>
    <t>коэффициент масштаба, КМ (численность постоянного населения поселений)</t>
  </si>
  <si>
    <t>КМ=(0.6*Чпос.+0.4*Чср)/Чпос.</t>
  </si>
  <si>
    <t>Чср.-средняя численность населения</t>
  </si>
  <si>
    <t>Чср.=Числ.района/8</t>
  </si>
  <si>
    <t>коэффициент дисперсности расселения  КД,(удельный вес постоянного населения поселений, проживающего в населенных пунктах численностью населения  менее 500 человек, в общей численности населения поселений)</t>
  </si>
  <si>
    <t>КД=1+Численность малых сел/Численность поселения</t>
  </si>
  <si>
    <t>Численность постоянного населения поселений, проживающего в населенных пунктах численностью населения  менее 500 человек, в общей численности населения поселений</t>
  </si>
  <si>
    <t>Расходы на оплату коммунальных услуг бюджетным учреждениям</t>
  </si>
  <si>
    <t>Коэффициент стоимости предоставления коммунальных услуг бюджетным учреждениям поселения</t>
  </si>
  <si>
    <t>КСКУ=(РОКУпос./Чпос.)/РОКУрайона/Чрайона</t>
  </si>
  <si>
    <t>Индекс бюджетных расходов поселений по отдельному виду расходов (ИБР)</t>
  </si>
  <si>
    <t>Доля расходов *ИБР по виду расходов</t>
  </si>
  <si>
    <t>КМпос./КМ ср.</t>
  </si>
  <si>
    <t>КДпос./КДср.</t>
  </si>
  <si>
    <t>расходы кул./числ.нас.пос.</t>
  </si>
  <si>
    <t>Бюджетная обеспеченность по каждому пос. ИДП/ИБР</t>
  </si>
  <si>
    <t>У1=(БО2max+БО2min)/4</t>
  </si>
  <si>
    <t>У1=(БО1max+БО1min)/2</t>
  </si>
  <si>
    <t>Объем дотаций из бюджета МО "Мелекесский район" за счет собственных средств</t>
  </si>
  <si>
    <t>Дотация на выравнивание уровня расчётной бюджетной обеспеченности Д</t>
  </si>
  <si>
    <t>Дотj=Дот1j+Дот2j</t>
  </si>
  <si>
    <t>дотация 2 часть</t>
  </si>
  <si>
    <t>Дот2j=(РФФПП+SUMдот1j)*T2j/T2</t>
  </si>
  <si>
    <t>дотация 1 часть</t>
  </si>
  <si>
    <t>Дот1j=Т1j*П</t>
  </si>
  <si>
    <t>П=0,1</t>
  </si>
  <si>
    <t>Утверждаем НПА</t>
  </si>
  <si>
    <r>
      <t>Объем средств, необх. до доведения БОпос. до БО сред.,  т.р.</t>
    </r>
    <r>
      <rPr>
        <b/>
        <sz val="8"/>
        <rFont val="Times New Roman"/>
        <family val="1"/>
        <charset val="204"/>
      </rPr>
      <t xml:space="preserve"> (Т1j) </t>
    </r>
  </si>
  <si>
    <t>Т1j=(ПДпмр/Н)*(У1-БО1j)*ИБРj*Нj</t>
  </si>
  <si>
    <t>Уровень бюджетной обеспеченности пос. после распределения 1 ч.дот. Из РФФПП (БО1j)</t>
  </si>
  <si>
    <r>
      <t>БО1j=БОj+Дот1j/ИБРj*Нj*(</t>
    </r>
    <r>
      <rPr>
        <sz val="10"/>
        <rFont val="Calibri"/>
        <family val="2"/>
        <charset val="204"/>
      </rPr>
      <t>∑ДП</t>
    </r>
    <r>
      <rPr>
        <sz val="10"/>
        <rFont val="Times New Roman"/>
        <family val="1"/>
        <charset val="204"/>
      </rPr>
      <t>j+∑Дот1j)/Н)</t>
    </r>
  </si>
  <si>
    <t>Объем средств, необх. до доведения уровня БОпос. До второго уровня БО  (Т2j)</t>
  </si>
  <si>
    <t>Т2j=(ПДпмр/Н)*(1,0-БО1j)*ИБРj*Нj</t>
  </si>
  <si>
    <t>Прогноз собственных доходов, т.р</t>
  </si>
  <si>
    <t>Прогноз собственных доходов на 1 человека</t>
  </si>
  <si>
    <t>руб.</t>
  </si>
  <si>
    <t>Всего дотация</t>
  </si>
  <si>
    <t>Начальник Финансового управления администрации МО "Мелекесский район"                                                                     А.В.Щукин</t>
  </si>
  <si>
    <t>Фомина Валентина Владимировна 8(84235)26916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</si>
</sst>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0.000"/>
    <numFmt numFmtId="167" formatCode="0.0000"/>
    <numFmt numFmtId="168" formatCode="0.0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EBF1DE"/>
        <bgColor rgb="FFFDEADA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0" fontId="5" fillId="0" borderId="2" xfId="0" applyFont="1" applyBorder="1"/>
    <xf numFmtId="0" fontId="4" fillId="0" borderId="2" xfId="0" applyFont="1" applyBorder="1"/>
    <xf numFmtId="0" fontId="6" fillId="0" borderId="2" xfId="0" applyFont="1" applyBorder="1"/>
    <xf numFmtId="0" fontId="2" fillId="0" borderId="2" xfId="0" applyFont="1" applyBorder="1"/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/>
    <xf numFmtId="164" fontId="2" fillId="0" borderId="2" xfId="0" applyNumberFormat="1" applyFont="1" applyBorder="1"/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5" fontId="4" fillId="0" borderId="2" xfId="0" applyNumberFormat="1" applyFont="1" applyBorder="1"/>
    <xf numFmtId="165" fontId="2" fillId="0" borderId="2" xfId="0" applyNumberFormat="1" applyFont="1" applyBorder="1"/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/>
    <xf numFmtId="164" fontId="2" fillId="2" borderId="2" xfId="0" applyNumberFormat="1" applyFont="1" applyFill="1" applyBorder="1"/>
    <xf numFmtId="0" fontId="4" fillId="0" borderId="2" xfId="0" applyFont="1" applyBorder="1" applyAlignment="1">
      <alignment wrapText="1"/>
    </xf>
    <xf numFmtId="166" fontId="2" fillId="0" borderId="2" xfId="0" applyNumberFormat="1" applyFont="1" applyBorder="1"/>
    <xf numFmtId="0" fontId="6" fillId="3" borderId="2" xfId="0" applyFont="1" applyFill="1" applyBorder="1" applyAlignment="1">
      <alignment vertical="top" wrapText="1"/>
    </xf>
    <xf numFmtId="166" fontId="2" fillId="2" borderId="2" xfId="0" applyNumberFormat="1" applyFont="1" applyFill="1" applyBorder="1"/>
    <xf numFmtId="164" fontId="4" fillId="2" borderId="2" xfId="0" applyNumberFormat="1" applyFont="1" applyFill="1" applyBorder="1"/>
    <xf numFmtId="166" fontId="4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/>
    <xf numFmtId="167" fontId="4" fillId="2" borderId="2" xfId="0" applyNumberFormat="1" applyFont="1" applyFill="1" applyBorder="1" applyAlignment="1"/>
    <xf numFmtId="166" fontId="8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/>
    <xf numFmtId="0" fontId="2" fillId="0" borderId="2" xfId="0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center"/>
    </xf>
    <xf numFmtId="167" fontId="2" fillId="0" borderId="2" xfId="0" applyNumberFormat="1" applyFont="1" applyBorder="1"/>
    <xf numFmtId="166" fontId="4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3" borderId="2" xfId="0" applyFont="1" applyFill="1" applyBorder="1"/>
    <xf numFmtId="167" fontId="2" fillId="2" borderId="2" xfId="0" applyNumberFormat="1" applyFont="1" applyFill="1" applyBorder="1"/>
    <xf numFmtId="166" fontId="9" fillId="0" borderId="2" xfId="0" applyNumberFormat="1" applyFont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167" fontId="4" fillId="0" borderId="2" xfId="0" applyNumberFormat="1" applyFont="1" applyBorder="1"/>
    <xf numFmtId="167" fontId="5" fillId="0" borderId="2" xfId="0" applyNumberFormat="1" applyFont="1" applyBorder="1"/>
    <xf numFmtId="0" fontId="10" fillId="0" borderId="2" xfId="0" applyFont="1" applyBorder="1" applyAlignment="1">
      <alignment wrapText="1"/>
    </xf>
    <xf numFmtId="167" fontId="11" fillId="0" borderId="2" xfId="0" applyNumberFormat="1" applyFont="1" applyBorder="1"/>
    <xf numFmtId="167" fontId="12" fillId="2" borderId="2" xfId="0" applyNumberFormat="1" applyFont="1" applyFill="1" applyBorder="1"/>
    <xf numFmtId="167" fontId="12" fillId="0" borderId="2" xfId="0" applyNumberFormat="1" applyFont="1" applyBorder="1"/>
    <xf numFmtId="0" fontId="2" fillId="0" borderId="2" xfId="0" applyFont="1" applyBorder="1" applyAlignment="1">
      <alignment wrapText="1"/>
    </xf>
    <xf numFmtId="2" fontId="7" fillId="0" borderId="2" xfId="0" applyNumberFormat="1" applyFont="1" applyBorder="1"/>
    <xf numFmtId="0" fontId="9" fillId="0" borderId="2" xfId="0" applyFont="1" applyBorder="1"/>
    <xf numFmtId="4" fontId="5" fillId="0" borderId="2" xfId="0" applyNumberFormat="1" applyFont="1" applyBorder="1"/>
    <xf numFmtId="168" fontId="5" fillId="0" borderId="2" xfId="0" applyNumberFormat="1" applyFont="1" applyBorder="1"/>
    <xf numFmtId="168" fontId="5" fillId="2" borderId="2" xfId="0" applyNumberFormat="1" applyFont="1" applyFill="1" applyBorder="1"/>
    <xf numFmtId="2" fontId="5" fillId="2" borderId="2" xfId="0" applyNumberFormat="1" applyFont="1" applyFill="1" applyBorder="1"/>
    <xf numFmtId="0" fontId="5" fillId="2" borderId="2" xfId="0" applyFont="1" applyFill="1" applyBorder="1"/>
    <xf numFmtId="0" fontId="5" fillId="0" borderId="2" xfId="0" applyFont="1" applyBorder="1" applyAlignment="1">
      <alignment wrapText="1"/>
    </xf>
    <xf numFmtId="164" fontId="5" fillId="4" borderId="2" xfId="0" applyNumberFormat="1" applyFont="1" applyFill="1" applyBorder="1"/>
    <xf numFmtId="0" fontId="5" fillId="0" borderId="2" xfId="0" applyFont="1" applyBorder="1" applyAlignment="1">
      <alignment horizontal="center"/>
    </xf>
    <xf numFmtId="165" fontId="7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5" fillId="0" borderId="0" xfId="0" applyFont="1"/>
    <xf numFmtId="0" fontId="14" fillId="0" borderId="0" xfId="0" applyFont="1"/>
    <xf numFmtId="2" fontId="14" fillId="0" borderId="0" xfId="0" applyNumberFormat="1" applyFont="1"/>
    <xf numFmtId="2" fontId="5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H54" sqref="H54"/>
    </sheetView>
  </sheetViews>
  <sheetFormatPr defaultRowHeight="15" x14ac:dyDescent="0.25"/>
  <cols>
    <col min="1" max="1" width="37.28515625" customWidth="1"/>
    <col min="10" max="10" width="10.85546875" customWidth="1"/>
    <col min="11" max="11" width="34.2851562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x14ac:dyDescent="0.2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4" t="s">
        <v>11</v>
      </c>
    </row>
    <row r="4" spans="1:11" x14ac:dyDescent="0.25">
      <c r="A4" s="3" t="s">
        <v>12</v>
      </c>
      <c r="B4" s="6">
        <v>6840</v>
      </c>
      <c r="C4" s="6">
        <v>6304</v>
      </c>
      <c r="D4" s="6">
        <v>4402</v>
      </c>
      <c r="E4" s="6">
        <v>1906</v>
      </c>
      <c r="F4" s="6">
        <v>4504</v>
      </c>
      <c r="G4" s="6">
        <v>5170</v>
      </c>
      <c r="H4" s="6">
        <v>2434</v>
      </c>
      <c r="I4" s="6">
        <v>3747</v>
      </c>
      <c r="J4" s="7">
        <f>B4+C4+D4+E4+F4+G4+H4+I4</f>
        <v>35307</v>
      </c>
      <c r="K4" s="8"/>
    </row>
    <row r="5" spans="1:11" x14ac:dyDescent="0.25">
      <c r="A5" s="3" t="s">
        <v>13</v>
      </c>
      <c r="B5" s="4"/>
      <c r="C5" s="4"/>
      <c r="D5" s="4"/>
      <c r="E5" s="4"/>
      <c r="F5" s="4"/>
      <c r="G5" s="4"/>
      <c r="H5" s="4"/>
      <c r="I5" s="4"/>
      <c r="J5" s="5"/>
      <c r="K5" s="9"/>
    </row>
    <row r="6" spans="1:11" x14ac:dyDescent="0.25">
      <c r="A6" s="10" t="s">
        <v>14</v>
      </c>
      <c r="B6" s="9"/>
      <c r="C6" s="9"/>
      <c r="D6" s="9"/>
      <c r="E6" s="9"/>
      <c r="F6" s="9"/>
      <c r="G6" s="9"/>
      <c r="H6" s="9"/>
      <c r="I6" s="9"/>
      <c r="J6" s="11"/>
      <c r="K6" s="9" t="s">
        <v>15</v>
      </c>
    </row>
    <row r="7" spans="1:11" x14ac:dyDescent="0.25">
      <c r="A7" s="12" t="s">
        <v>16</v>
      </c>
      <c r="B7" s="13">
        <v>4750</v>
      </c>
      <c r="C7" s="13">
        <v>4150</v>
      </c>
      <c r="D7" s="13">
        <v>490</v>
      </c>
      <c r="E7" s="13">
        <v>480</v>
      </c>
      <c r="F7" s="13">
        <v>950</v>
      </c>
      <c r="G7" s="13">
        <v>2300</v>
      </c>
      <c r="H7" s="13">
        <v>390</v>
      </c>
      <c r="I7" s="13">
        <v>2800</v>
      </c>
      <c r="J7" s="14">
        <f>SUM(B7:I7)</f>
        <v>16310</v>
      </c>
      <c r="K7" s="9"/>
    </row>
    <row r="8" spans="1:11" x14ac:dyDescent="0.25">
      <c r="A8" s="12" t="s">
        <v>17</v>
      </c>
      <c r="B8" s="13">
        <v>550</v>
      </c>
      <c r="C8" s="13">
        <v>600</v>
      </c>
      <c r="D8" s="13">
        <v>400</v>
      </c>
      <c r="E8" s="13">
        <v>190</v>
      </c>
      <c r="F8" s="13">
        <v>300</v>
      </c>
      <c r="G8" s="13">
        <v>450</v>
      </c>
      <c r="H8" s="13">
        <v>160</v>
      </c>
      <c r="I8" s="13">
        <v>350</v>
      </c>
      <c r="J8" s="14">
        <f>SUM(B8:I8)</f>
        <v>3000</v>
      </c>
      <c r="K8" s="9"/>
    </row>
    <row r="9" spans="1:11" x14ac:dyDescent="0.25">
      <c r="A9" s="12" t="s">
        <v>18</v>
      </c>
      <c r="B9" s="13">
        <v>3100</v>
      </c>
      <c r="C9" s="13">
        <v>2700</v>
      </c>
      <c r="D9" s="13">
        <v>3400</v>
      </c>
      <c r="E9" s="13">
        <v>1530</v>
      </c>
      <c r="F9" s="13">
        <v>2900</v>
      </c>
      <c r="G9" s="13">
        <v>7000</v>
      </c>
      <c r="H9" s="13">
        <v>1300</v>
      </c>
      <c r="I9" s="13">
        <v>5500</v>
      </c>
      <c r="J9" s="14"/>
      <c r="K9" s="9"/>
    </row>
    <row r="10" spans="1:11" x14ac:dyDescent="0.25">
      <c r="A10" s="15" t="s">
        <v>19</v>
      </c>
      <c r="B10" s="14">
        <f t="shared" ref="B10:I10" si="0">SUM(B7:B9)</f>
        <v>8400</v>
      </c>
      <c r="C10" s="14">
        <f t="shared" si="0"/>
        <v>7450</v>
      </c>
      <c r="D10" s="14">
        <f t="shared" si="0"/>
        <v>4290</v>
      </c>
      <c r="E10" s="14">
        <f t="shared" si="0"/>
        <v>2200</v>
      </c>
      <c r="F10" s="14">
        <f t="shared" si="0"/>
        <v>4150</v>
      </c>
      <c r="G10" s="14">
        <f t="shared" si="0"/>
        <v>9750</v>
      </c>
      <c r="H10" s="14">
        <f t="shared" si="0"/>
        <v>1850</v>
      </c>
      <c r="I10" s="14">
        <f t="shared" si="0"/>
        <v>8650</v>
      </c>
      <c r="J10" s="14">
        <f>SUM(B10:I10)</f>
        <v>46740</v>
      </c>
      <c r="K10" s="9"/>
    </row>
    <row r="11" spans="1:11" ht="22.5" x14ac:dyDescent="0.25">
      <c r="A11" s="16" t="s">
        <v>20</v>
      </c>
      <c r="B11" s="17">
        <f t="shared" ref="B11:I11" si="1">($J$11/$J$4)*B4</f>
        <v>2052.6024980881975</v>
      </c>
      <c r="C11" s="17">
        <f t="shared" si="1"/>
        <v>1891.7552847877189</v>
      </c>
      <c r="D11" s="17">
        <f t="shared" si="1"/>
        <v>1320.9877480386324</v>
      </c>
      <c r="E11" s="17">
        <f t="shared" si="1"/>
        <v>571.96788908714984</v>
      </c>
      <c r="F11" s="17">
        <f t="shared" si="1"/>
        <v>1351.5967326592458</v>
      </c>
      <c r="G11" s="17">
        <f t="shared" si="1"/>
        <v>1551.4553969467809</v>
      </c>
      <c r="H11" s="17">
        <f t="shared" si="1"/>
        <v>730.41439771150192</v>
      </c>
      <c r="I11" s="17">
        <f t="shared" si="1"/>
        <v>1124.4300526807715</v>
      </c>
      <c r="J11" s="18">
        <v>10595.21</v>
      </c>
      <c r="K11" s="19" t="s">
        <v>21</v>
      </c>
    </row>
    <row r="12" spans="1:11" ht="23.25" x14ac:dyDescent="0.25">
      <c r="A12" s="20" t="s">
        <v>22</v>
      </c>
      <c r="B12" s="21">
        <f t="shared" ref="B12:J12" si="2">B10+B11</f>
        <v>10452.602498088198</v>
      </c>
      <c r="C12" s="21">
        <f t="shared" si="2"/>
        <v>9341.7552847877196</v>
      </c>
      <c r="D12" s="21">
        <f t="shared" si="2"/>
        <v>5610.9877480386322</v>
      </c>
      <c r="E12" s="21">
        <f t="shared" si="2"/>
        <v>2771.9678890871501</v>
      </c>
      <c r="F12" s="21">
        <f t="shared" si="2"/>
        <v>5501.5967326592454</v>
      </c>
      <c r="G12" s="21">
        <f t="shared" si="2"/>
        <v>11301.455396946782</v>
      </c>
      <c r="H12" s="21">
        <f t="shared" si="2"/>
        <v>2580.4143977115018</v>
      </c>
      <c r="I12" s="21">
        <f t="shared" si="2"/>
        <v>9774.430052680771</v>
      </c>
      <c r="J12" s="21">
        <f t="shared" si="2"/>
        <v>57335.21</v>
      </c>
      <c r="K12" s="22" t="s">
        <v>23</v>
      </c>
    </row>
    <row r="13" spans="1:11" x14ac:dyDescent="0.25">
      <c r="A13" s="9" t="s">
        <v>24</v>
      </c>
      <c r="B13" s="23">
        <f t="shared" ref="B13:J13" si="3">B12/B4</f>
        <v>1.5281582599544148</v>
      </c>
      <c r="C13" s="23">
        <f t="shared" si="3"/>
        <v>1.4818774246173414</v>
      </c>
      <c r="D13" s="23">
        <f t="shared" si="3"/>
        <v>1.2746451040523925</v>
      </c>
      <c r="E13" s="23">
        <f t="shared" si="3"/>
        <v>1.4543378221863326</v>
      </c>
      <c r="F13" s="23">
        <f t="shared" si="3"/>
        <v>1.2214912816738999</v>
      </c>
      <c r="G13" s="23">
        <f t="shared" si="3"/>
        <v>2.1859681618852576</v>
      </c>
      <c r="H13" s="23">
        <f t="shared" si="3"/>
        <v>1.0601538199307732</v>
      </c>
      <c r="I13" s="23">
        <f t="shared" si="3"/>
        <v>2.608601561964444</v>
      </c>
      <c r="J13" s="23">
        <f t="shared" si="3"/>
        <v>1.6239048913813126</v>
      </c>
      <c r="K13" s="22"/>
    </row>
    <row r="14" spans="1:11" x14ac:dyDescent="0.25">
      <c r="A14" s="24" t="s">
        <v>25</v>
      </c>
      <c r="B14" s="25">
        <f t="shared" ref="B14:J14" si="4">(B12/B4)/($J$12/$J$4)</f>
        <v>0.94103926163714269</v>
      </c>
      <c r="C14" s="25">
        <f t="shared" si="4"/>
        <v>0.91253954125160563</v>
      </c>
      <c r="D14" s="25">
        <f t="shared" si="4"/>
        <v>0.78492595891386496</v>
      </c>
      <c r="E14" s="25">
        <f t="shared" si="4"/>
        <v>0.89558066479451004</v>
      </c>
      <c r="F14" s="25">
        <f t="shared" si="4"/>
        <v>0.75219385578356446</v>
      </c>
      <c r="G14" s="25">
        <f t="shared" si="4"/>
        <v>1.3461183431905592</v>
      </c>
      <c r="H14" s="25">
        <f t="shared" si="4"/>
        <v>0.65284230964351242</v>
      </c>
      <c r="I14" s="25">
        <f t="shared" si="4"/>
        <v>1.6063758264472847</v>
      </c>
      <c r="J14" s="25">
        <f t="shared" si="4"/>
        <v>1</v>
      </c>
      <c r="K14" s="9" t="s">
        <v>26</v>
      </c>
    </row>
    <row r="15" spans="1:11" x14ac:dyDescent="0.25">
      <c r="A15" s="5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23.25" x14ac:dyDescent="0.25">
      <c r="A16" s="10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22" t="s">
        <v>29</v>
      </c>
    </row>
    <row r="17" spans="1:11" x14ac:dyDescent="0.25">
      <c r="A17" s="9" t="s">
        <v>30</v>
      </c>
      <c r="B17" s="13">
        <v>2589.5</v>
      </c>
      <c r="C17" s="13">
        <v>3145.6</v>
      </c>
      <c r="D17" s="13">
        <v>1414.2</v>
      </c>
      <c r="E17" s="13">
        <v>1112.3</v>
      </c>
      <c r="F17" s="13">
        <v>1773.1</v>
      </c>
      <c r="G17" s="13">
        <v>2630.3</v>
      </c>
      <c r="H17" s="13">
        <v>1233.3</v>
      </c>
      <c r="I17" s="13">
        <v>2415.1999999999998</v>
      </c>
      <c r="J17" s="26">
        <f>SUM(B17:I17)</f>
        <v>16313.5</v>
      </c>
      <c r="K17" s="27">
        <f>J17/J21</f>
        <v>0.35892262707557321</v>
      </c>
    </row>
    <row r="18" spans="1:11" x14ac:dyDescent="0.25">
      <c r="A18" s="9" t="s">
        <v>31</v>
      </c>
      <c r="B18" s="13">
        <v>1878.7</v>
      </c>
      <c r="C18" s="13">
        <v>874.6</v>
      </c>
      <c r="D18" s="13">
        <v>1208.0999999999999</v>
      </c>
      <c r="E18" s="13">
        <v>118.9</v>
      </c>
      <c r="F18" s="13">
        <v>993.2</v>
      </c>
      <c r="G18" s="13">
        <v>3126</v>
      </c>
      <c r="H18" s="13">
        <v>254.8</v>
      </c>
      <c r="I18" s="13">
        <v>1874.9</v>
      </c>
      <c r="J18" s="26">
        <f>SUM(B18:I18)</f>
        <v>10329.199999999999</v>
      </c>
      <c r="K18" s="27">
        <f>J18/J21</f>
        <v>0.22725862626591539</v>
      </c>
    </row>
    <row r="19" spans="1:11" x14ac:dyDescent="0.25">
      <c r="A19" s="9" t="s">
        <v>32</v>
      </c>
      <c r="B19" s="13">
        <v>753.1</v>
      </c>
      <c r="C19" s="13"/>
      <c r="D19" s="13"/>
      <c r="E19" s="13">
        <v>329.7</v>
      </c>
      <c r="F19" s="13">
        <v>594.4</v>
      </c>
      <c r="G19" s="13"/>
      <c r="H19" s="13">
        <v>317.60000000000002</v>
      </c>
      <c r="I19" s="13"/>
      <c r="J19" s="26">
        <f>SUM(B19:I19)</f>
        <v>1994.7999999999997</v>
      </c>
      <c r="K19" s="27">
        <f>J19/J21</f>
        <v>4.3888733655583004E-2</v>
      </c>
    </row>
    <row r="20" spans="1:11" x14ac:dyDescent="0.25">
      <c r="A20" s="9" t="s">
        <v>33</v>
      </c>
      <c r="B20" s="9">
        <v>3487</v>
      </c>
      <c r="C20" s="9">
        <v>2143.1</v>
      </c>
      <c r="D20" s="9">
        <v>1515.7</v>
      </c>
      <c r="E20" s="9">
        <v>1228</v>
      </c>
      <c r="F20" s="9">
        <v>1395.7</v>
      </c>
      <c r="G20" s="9">
        <v>3297.3</v>
      </c>
      <c r="H20" s="9">
        <v>1044</v>
      </c>
      <c r="I20" s="9">
        <v>2703</v>
      </c>
      <c r="J20" s="26">
        <f>SUM(B20:I20)</f>
        <v>16813.8</v>
      </c>
      <c r="K20" s="27">
        <f>J20/J21</f>
        <v>0.36993001300292844</v>
      </c>
    </row>
    <row r="21" spans="1:11" x14ac:dyDescent="0.25">
      <c r="A21" s="11" t="s">
        <v>34</v>
      </c>
      <c r="B21" s="14">
        <f t="shared" ref="B21:K21" si="5">SUM(B17:B20)</f>
        <v>8708.2999999999993</v>
      </c>
      <c r="C21" s="14">
        <f t="shared" si="5"/>
        <v>6163.2999999999993</v>
      </c>
      <c r="D21" s="14">
        <f t="shared" si="5"/>
        <v>4138</v>
      </c>
      <c r="E21" s="14">
        <f t="shared" si="5"/>
        <v>2788.9</v>
      </c>
      <c r="F21" s="14">
        <f t="shared" si="5"/>
        <v>4756.4000000000005</v>
      </c>
      <c r="G21" s="14">
        <f t="shared" si="5"/>
        <v>9053.6</v>
      </c>
      <c r="H21" s="14">
        <f t="shared" si="5"/>
        <v>2849.7</v>
      </c>
      <c r="I21" s="14">
        <f t="shared" si="5"/>
        <v>6993.1</v>
      </c>
      <c r="J21" s="21">
        <f t="shared" si="5"/>
        <v>45451.299999999996</v>
      </c>
      <c r="K21" s="28">
        <f t="shared" si="5"/>
        <v>1</v>
      </c>
    </row>
    <row r="22" spans="1:11" ht="23.25" x14ac:dyDescent="0.25">
      <c r="A22" s="22" t="s">
        <v>35</v>
      </c>
      <c r="B22" s="29">
        <f t="shared" ref="B22:I22" si="6">(0.6*B4+0.4*$J$23)/B4</f>
        <v>0.85809210526315793</v>
      </c>
      <c r="C22" s="29">
        <f t="shared" si="6"/>
        <v>0.88003648477157359</v>
      </c>
      <c r="D22" s="29">
        <f t="shared" si="6"/>
        <v>1.0010336210813267</v>
      </c>
      <c r="E22" s="29">
        <f t="shared" si="6"/>
        <v>1.5262067156348373</v>
      </c>
      <c r="F22" s="29">
        <f t="shared" si="6"/>
        <v>0.99195159857904081</v>
      </c>
      <c r="G22" s="29">
        <f t="shared" si="6"/>
        <v>0.94146034816247592</v>
      </c>
      <c r="H22" s="29">
        <f t="shared" si="6"/>
        <v>1.3252875924404273</v>
      </c>
      <c r="I22" s="29">
        <f t="shared" si="6"/>
        <v>1.0711369095276222</v>
      </c>
      <c r="J22" s="30">
        <f>(B22+C22+D22+E22+F22+G22+H22+I22)/8</f>
        <v>1.0744006719325576</v>
      </c>
      <c r="K22" s="31" t="s">
        <v>36</v>
      </c>
    </row>
    <row r="23" spans="1:11" x14ac:dyDescent="0.25">
      <c r="A23" s="22" t="s">
        <v>37</v>
      </c>
      <c r="B23" s="32"/>
      <c r="C23" s="32"/>
      <c r="D23" s="32"/>
      <c r="E23" s="32"/>
      <c r="F23" s="32"/>
      <c r="G23" s="32"/>
      <c r="H23" s="32"/>
      <c r="I23" s="32"/>
      <c r="J23" s="33">
        <f>J4/8</f>
        <v>4413.375</v>
      </c>
      <c r="K23" s="34" t="s">
        <v>38</v>
      </c>
    </row>
    <row r="24" spans="1:11" ht="57" x14ac:dyDescent="0.25">
      <c r="A24" s="22" t="s">
        <v>39</v>
      </c>
      <c r="B24" s="35">
        <f t="shared" ref="B24:J24" si="7">1+B25/B4</f>
        <v>1.0754385964912281</v>
      </c>
      <c r="C24" s="35">
        <f t="shared" si="7"/>
        <v>1.038229695431472</v>
      </c>
      <c r="D24" s="35">
        <f t="shared" si="7"/>
        <v>1.3875511131303953</v>
      </c>
      <c r="E24" s="35">
        <f t="shared" si="7"/>
        <v>1.5514165792235048</v>
      </c>
      <c r="F24" s="35">
        <f t="shared" si="7"/>
        <v>1.1378774422735347</v>
      </c>
      <c r="G24" s="35">
        <f t="shared" si="7"/>
        <v>1.3557059961315281</v>
      </c>
      <c r="H24" s="35">
        <f t="shared" si="7"/>
        <v>1.0727198027937552</v>
      </c>
      <c r="I24" s="35">
        <f t="shared" si="7"/>
        <v>1.1796103549506272</v>
      </c>
      <c r="J24" s="35">
        <f t="shared" si="7"/>
        <v>1.1932761208825444</v>
      </c>
      <c r="K24" s="36" t="s">
        <v>40</v>
      </c>
    </row>
    <row r="25" spans="1:11" ht="45.75" x14ac:dyDescent="0.25">
      <c r="A25" s="37" t="s">
        <v>41</v>
      </c>
      <c r="B25" s="38">
        <v>516</v>
      </c>
      <c r="C25" s="38">
        <v>241</v>
      </c>
      <c r="D25" s="38">
        <v>1706</v>
      </c>
      <c r="E25" s="38">
        <v>1051</v>
      </c>
      <c r="F25" s="38">
        <v>621</v>
      </c>
      <c r="G25" s="38">
        <v>1839</v>
      </c>
      <c r="H25" s="38">
        <v>177</v>
      </c>
      <c r="I25" s="38">
        <v>673</v>
      </c>
      <c r="J25" s="9">
        <f>SUM(B25:I25)</f>
        <v>6824</v>
      </c>
      <c r="K25" s="28"/>
    </row>
    <row r="26" spans="1:11" ht="23.25" x14ac:dyDescent="0.25">
      <c r="A26" s="22" t="s">
        <v>42</v>
      </c>
      <c r="B26" s="13">
        <v>2880.3</v>
      </c>
      <c r="C26" s="13">
        <v>3330.2</v>
      </c>
      <c r="D26" s="13">
        <v>1108.9000000000001</v>
      </c>
      <c r="E26" s="13">
        <v>368.9</v>
      </c>
      <c r="F26" s="13">
        <v>1103.7</v>
      </c>
      <c r="G26" s="13">
        <v>2782.8</v>
      </c>
      <c r="H26" s="13">
        <v>623.4</v>
      </c>
      <c r="I26" s="13">
        <v>2358</v>
      </c>
      <c r="J26" s="13">
        <f>B26+C26+D26+E26+F26+G26+H26+I26</f>
        <v>14556.199999999999</v>
      </c>
      <c r="K26" s="28"/>
    </row>
    <row r="27" spans="1:11" ht="34.5" x14ac:dyDescent="0.25">
      <c r="A27" s="22" t="s">
        <v>43</v>
      </c>
      <c r="B27" s="39">
        <f t="shared" ref="B27:J27" si="8">(B26/B4)/($J$26/$J$4)</f>
        <v>1.021396643065462</v>
      </c>
      <c r="C27" s="39">
        <f t="shared" si="8"/>
        <v>1.2813474692382552</v>
      </c>
      <c r="D27" s="39">
        <f t="shared" si="8"/>
        <v>0.61101961008653805</v>
      </c>
      <c r="E27" s="39">
        <f t="shared" si="8"/>
        <v>0.46945996537240697</v>
      </c>
      <c r="F27" s="39">
        <f t="shared" si="8"/>
        <v>0.59438174709290537</v>
      </c>
      <c r="G27" s="39">
        <f t="shared" si="8"/>
        <v>1.3055823042642143</v>
      </c>
      <c r="H27" s="39">
        <f t="shared" si="8"/>
        <v>0.6212394514053976</v>
      </c>
      <c r="I27" s="39">
        <f t="shared" si="8"/>
        <v>1.5264160050921711</v>
      </c>
      <c r="J27" s="39">
        <f t="shared" si="8"/>
        <v>1</v>
      </c>
      <c r="K27" s="40" t="s">
        <v>44</v>
      </c>
    </row>
    <row r="28" spans="1:11" ht="23.25" x14ac:dyDescent="0.25">
      <c r="A28" s="41" t="s">
        <v>45</v>
      </c>
      <c r="B28" s="42">
        <f t="shared" ref="B28:J28" si="9">B29*$K$17+B30*$K$18+B31*$K$19+B32*$K$20</f>
        <v>0.96754443298257697</v>
      </c>
      <c r="C28" s="42">
        <f t="shared" si="9"/>
        <v>1.0985972283874104</v>
      </c>
      <c r="D28" s="42">
        <f t="shared" si="9"/>
        <v>1.0638612644483851</v>
      </c>
      <c r="E28" s="42">
        <f t="shared" si="9"/>
        <v>1.5396860633230793</v>
      </c>
      <c r="F28" s="42">
        <f t="shared" si="9"/>
        <v>0.85606486788744274</v>
      </c>
      <c r="G28" s="42">
        <f t="shared" si="9"/>
        <v>1.5305338195073577</v>
      </c>
      <c r="H28" s="42">
        <f t="shared" si="9"/>
        <v>1.0569934758673194</v>
      </c>
      <c r="I28" s="42">
        <f t="shared" si="9"/>
        <v>1.6390149750777887</v>
      </c>
      <c r="J28" s="42">
        <f t="shared" si="9"/>
        <v>1.3089663925523662</v>
      </c>
      <c r="K28" s="22" t="s">
        <v>46</v>
      </c>
    </row>
    <row r="29" spans="1:11" x14ac:dyDescent="0.25">
      <c r="A29" s="9" t="s">
        <v>30</v>
      </c>
      <c r="B29" s="43">
        <f t="shared" ref="B29:J29" si="10">B22*B24/$J$22*$J$24</f>
        <v>1.0249299965557235</v>
      </c>
      <c r="C29" s="43">
        <f t="shared" si="10"/>
        <v>1.0147727643847657</v>
      </c>
      <c r="D29" s="43">
        <f t="shared" si="10"/>
        <v>1.5426675096154878</v>
      </c>
      <c r="E29" s="43">
        <f t="shared" si="10"/>
        <v>2.6297621301933809</v>
      </c>
      <c r="F29" s="43">
        <f t="shared" si="10"/>
        <v>1.2536048051284012</v>
      </c>
      <c r="G29" s="43">
        <f t="shared" si="10"/>
        <v>1.4175625422982894</v>
      </c>
      <c r="H29" s="43">
        <f t="shared" si="10"/>
        <v>1.57895992901594</v>
      </c>
      <c r="I29" s="43">
        <f t="shared" si="10"/>
        <v>1.4033249266592895</v>
      </c>
      <c r="J29" s="43">
        <f t="shared" si="10"/>
        <v>1.4239079006684927</v>
      </c>
      <c r="K29" s="8" t="s">
        <v>47</v>
      </c>
    </row>
    <row r="30" spans="1:11" x14ac:dyDescent="0.25">
      <c r="A30" s="9" t="s">
        <v>31</v>
      </c>
      <c r="B30" s="43">
        <f t="shared" ref="B30:J30" si="11">B24*B27/$J$24*$J$27</f>
        <v>0.92053243424226183</v>
      </c>
      <c r="C30" s="43">
        <f t="shared" si="11"/>
        <v>1.1148576339105905</v>
      </c>
      <c r="D30" s="43">
        <f t="shared" si="11"/>
        <v>0.71049853867269996</v>
      </c>
      <c r="E30" s="43">
        <f t="shared" si="11"/>
        <v>0.61035996682961768</v>
      </c>
      <c r="F30" s="43">
        <f t="shared" si="11"/>
        <v>0.5667871587138904</v>
      </c>
      <c r="G30" s="43">
        <f t="shared" si="11"/>
        <v>1.4832994035153697</v>
      </c>
      <c r="H30" s="43">
        <f t="shared" si="11"/>
        <v>0.55847582142716401</v>
      </c>
      <c r="I30" s="43">
        <f t="shared" si="11"/>
        <v>1.5089350185247921</v>
      </c>
      <c r="J30" s="43">
        <f t="shared" si="11"/>
        <v>1</v>
      </c>
      <c r="K30" s="8" t="s">
        <v>48</v>
      </c>
    </row>
    <row r="31" spans="1:11" x14ac:dyDescent="0.25">
      <c r="A31" s="9" t="s">
        <v>32</v>
      </c>
      <c r="B31" s="43">
        <f t="shared" ref="B31:J31" si="12">(B19*B4)/($J$19*$J$4)</f>
        <v>7.3138924906004668E-2</v>
      </c>
      <c r="C31" s="43">
        <f t="shared" si="12"/>
        <v>0</v>
      </c>
      <c r="D31" s="43">
        <f t="shared" si="12"/>
        <v>0</v>
      </c>
      <c r="E31" s="43">
        <f t="shared" si="12"/>
        <v>8.922399530307391E-3</v>
      </c>
      <c r="F31" s="43">
        <f t="shared" si="12"/>
        <v>3.801167483299784E-2</v>
      </c>
      <c r="G31" s="43">
        <f t="shared" si="12"/>
        <v>0</v>
      </c>
      <c r="H31" s="43">
        <f t="shared" si="12"/>
        <v>1.0975918928285115E-2</v>
      </c>
      <c r="I31" s="43">
        <f t="shared" si="12"/>
        <v>0</v>
      </c>
      <c r="J31" s="43">
        <f t="shared" si="12"/>
        <v>1</v>
      </c>
      <c r="K31" s="8" t="s">
        <v>49</v>
      </c>
    </row>
    <row r="32" spans="1:11" x14ac:dyDescent="0.25">
      <c r="A32" s="9" t="s">
        <v>33</v>
      </c>
      <c r="B32" s="43">
        <f>B22*B24*B27/$J22*$J$24*$J$27</f>
        <v>1.0468600578591116</v>
      </c>
      <c r="C32" s="43">
        <f>C22*C24*C27/$J$22*J24*J$27</f>
        <v>1.3002765134963279</v>
      </c>
      <c r="D32" s="43">
        <f>D22*D24*D27/J22*$J$24*$J27</f>
        <v>0.942600100218426</v>
      </c>
      <c r="E32" s="43">
        <f>E22*E24*E27/$J$22*J24*J27</f>
        <v>1.2345680385782518</v>
      </c>
      <c r="F32" s="43">
        <f>F22*F24*F27/J$22*$J24*J27</f>
        <v>0.74511981423628038</v>
      </c>
      <c r="G32" s="43">
        <f>G22*G24*G27/J22*J24*J$27</f>
        <v>1.8507445704124386</v>
      </c>
      <c r="H32" s="43">
        <f>H22*H24*H27/$J$22*$J$24*$J$27</f>
        <v>0.98091220009296809</v>
      </c>
      <c r="I32" s="43">
        <f>I22*I24*I27/$J$22*$J$24*$J$27</f>
        <v>2.1420576283975366</v>
      </c>
      <c r="J32" s="43">
        <f>J22*J24*J27/$J$22*$J$24*$J$27</f>
        <v>1.4239079006684927</v>
      </c>
      <c r="K32" s="8"/>
    </row>
    <row r="33" spans="1:11" ht="22.5" x14ac:dyDescent="0.25">
      <c r="A33" s="44" t="s">
        <v>50</v>
      </c>
      <c r="B33" s="45">
        <f t="shared" ref="B33:I33" si="13">B14/B28</f>
        <v>0.97260573215875079</v>
      </c>
      <c r="C33" s="45">
        <f t="shared" si="13"/>
        <v>0.83064067309826384</v>
      </c>
      <c r="D33" s="45">
        <f t="shared" si="13"/>
        <v>0.7378085706700217</v>
      </c>
      <c r="E33" s="45">
        <f t="shared" si="13"/>
        <v>0.58166446143026906</v>
      </c>
      <c r="F33" s="45">
        <f t="shared" si="13"/>
        <v>0.87866455452119374</v>
      </c>
      <c r="G33" s="45">
        <f t="shared" si="13"/>
        <v>0.87950904843373057</v>
      </c>
      <c r="H33" s="45">
        <f t="shared" si="13"/>
        <v>0.61764081287996653</v>
      </c>
      <c r="I33" s="45">
        <f t="shared" si="13"/>
        <v>0.98008611932971823</v>
      </c>
      <c r="J33" s="46">
        <f>(B33+I33+E33+H33)/4</f>
        <v>0.78799928144967613</v>
      </c>
      <c r="K33" s="8" t="s">
        <v>51</v>
      </c>
    </row>
    <row r="34" spans="1:11" ht="22.5" x14ac:dyDescent="0.25">
      <c r="A34" s="44" t="s">
        <v>50</v>
      </c>
      <c r="B34" s="45">
        <f t="shared" ref="B34:I34" si="14">B14/B28</f>
        <v>0.97260573215875079</v>
      </c>
      <c r="C34" s="45">
        <f t="shared" si="14"/>
        <v>0.83064067309826384</v>
      </c>
      <c r="D34" s="45">
        <f t="shared" si="14"/>
        <v>0.7378085706700217</v>
      </c>
      <c r="E34" s="45">
        <f t="shared" si="14"/>
        <v>0.58166446143026906</v>
      </c>
      <c r="F34" s="45">
        <f t="shared" si="14"/>
        <v>0.87866455452119374</v>
      </c>
      <c r="G34" s="45">
        <f t="shared" si="14"/>
        <v>0.87950904843373057</v>
      </c>
      <c r="H34" s="45">
        <f t="shared" si="14"/>
        <v>0.61764081287996653</v>
      </c>
      <c r="I34" s="45">
        <f t="shared" si="14"/>
        <v>0.98008611932971823</v>
      </c>
      <c r="J34" s="47">
        <f>(E34+I34)/2</f>
        <v>0.78087529037999359</v>
      </c>
      <c r="K34" s="8" t="s">
        <v>52</v>
      </c>
    </row>
    <row r="35" spans="1:11" ht="22.5" x14ac:dyDescent="0.25">
      <c r="A35" s="48" t="s">
        <v>53</v>
      </c>
      <c r="B35" s="49"/>
      <c r="C35" s="49"/>
      <c r="D35" s="49"/>
      <c r="E35" s="49"/>
      <c r="F35" s="49"/>
      <c r="G35" s="49"/>
      <c r="H35" s="49"/>
      <c r="I35" s="49"/>
      <c r="J35" s="49">
        <v>4500</v>
      </c>
      <c r="K35" s="50"/>
    </row>
    <row r="36" spans="1:11" ht="22.5" x14ac:dyDescent="0.25">
      <c r="A36" s="48" t="s">
        <v>54</v>
      </c>
      <c r="B36" s="51">
        <f t="shared" ref="B36:I36" si="15">B37+B38</f>
        <v>125.8114497589962</v>
      </c>
      <c r="C36" s="51">
        <f t="shared" si="15"/>
        <v>813.94914536787348</v>
      </c>
      <c r="D36" s="51">
        <f t="shared" si="15"/>
        <v>869.21104071297816</v>
      </c>
      <c r="E36" s="51">
        <f t="shared" si="15"/>
        <v>901.56720020179648</v>
      </c>
      <c r="F36" s="51">
        <f t="shared" si="15"/>
        <v>324.65806376368874</v>
      </c>
      <c r="G36" s="51">
        <f t="shared" si="15"/>
        <v>661.63939639291004</v>
      </c>
      <c r="H36" s="51">
        <f t="shared" si="15"/>
        <v>718.29335948691664</v>
      </c>
      <c r="I36" s="51">
        <f t="shared" si="15"/>
        <v>84.870344314840011</v>
      </c>
      <c r="J36" s="51">
        <f>SUM(B36:I36)</f>
        <v>4499.9999999999991</v>
      </c>
      <c r="K36" s="50" t="s">
        <v>55</v>
      </c>
    </row>
    <row r="37" spans="1:11" x14ac:dyDescent="0.25">
      <c r="A37" s="8" t="s">
        <v>56</v>
      </c>
      <c r="B37" s="52">
        <f t="shared" ref="B37:I37" si="16">($J$35-$J$38)*B42/$J$42</f>
        <v>125.8114497589962</v>
      </c>
      <c r="C37" s="52">
        <f t="shared" si="16"/>
        <v>813.94914536787348</v>
      </c>
      <c r="D37" s="52">
        <f t="shared" si="16"/>
        <v>839.38786418683742</v>
      </c>
      <c r="E37" s="52">
        <f t="shared" si="16"/>
        <v>815.12116320899884</v>
      </c>
      <c r="F37" s="52">
        <f t="shared" si="16"/>
        <v>324.65806376368874</v>
      </c>
      <c r="G37" s="52">
        <f t="shared" si="16"/>
        <v>661.63939639291004</v>
      </c>
      <c r="H37" s="52">
        <f t="shared" si="16"/>
        <v>656.19475440492113</v>
      </c>
      <c r="I37" s="52">
        <f t="shared" si="16"/>
        <v>84.870344314840011</v>
      </c>
      <c r="J37" s="52">
        <f>SUM(B37:I37)</f>
        <v>4321.6321813990653</v>
      </c>
      <c r="K37" s="50" t="s">
        <v>57</v>
      </c>
    </row>
    <row r="38" spans="1:11" x14ac:dyDescent="0.25">
      <c r="A38" s="8" t="s">
        <v>58</v>
      </c>
      <c r="B38" s="52"/>
      <c r="C38" s="52"/>
      <c r="D38" s="52">
        <f>D40*D39</f>
        <v>29.823176526140784</v>
      </c>
      <c r="E38" s="52">
        <f>E40*E39</f>
        <v>86.446036992797644</v>
      </c>
      <c r="F38" s="52"/>
      <c r="G38" s="52"/>
      <c r="H38" s="52">
        <f>H40*H39</f>
        <v>62.098605081995515</v>
      </c>
      <c r="I38" s="52"/>
      <c r="J38" s="52">
        <f>SUM(B38:I38)</f>
        <v>178.36781860093396</v>
      </c>
      <c r="K38" s="50" t="s">
        <v>59</v>
      </c>
    </row>
    <row r="39" spans="1:11" x14ac:dyDescent="0.25">
      <c r="A39" s="22" t="s">
        <v>60</v>
      </c>
      <c r="B39" s="43">
        <v>0.1</v>
      </c>
      <c r="C39" s="43">
        <v>0.1</v>
      </c>
      <c r="D39" s="43">
        <v>0.1</v>
      </c>
      <c r="E39" s="43">
        <v>0.1</v>
      </c>
      <c r="F39" s="43">
        <v>0.1</v>
      </c>
      <c r="G39" s="43">
        <v>0.1</v>
      </c>
      <c r="H39" s="43">
        <v>0.1</v>
      </c>
      <c r="I39" s="43">
        <v>0.1</v>
      </c>
      <c r="J39" s="43">
        <v>0.1</v>
      </c>
      <c r="K39" s="9" t="s">
        <v>61</v>
      </c>
    </row>
    <row r="40" spans="1:11" ht="23.25" x14ac:dyDescent="0.25">
      <c r="A40" s="22" t="s">
        <v>62</v>
      </c>
      <c r="B40" s="53">
        <f t="shared" ref="B40:I40" si="17">($J$43/$J$4)*($J$34-B34)*B28*B4</f>
        <v>-1876.2692622763325</v>
      </c>
      <c r="C40" s="53">
        <f t="shared" si="17"/>
        <v>-509.6348548977096</v>
      </c>
      <c r="D40" s="53">
        <f t="shared" si="17"/>
        <v>298.23176526140782</v>
      </c>
      <c r="E40" s="53">
        <f t="shared" si="17"/>
        <v>864.46036992797633</v>
      </c>
      <c r="F40" s="53">
        <f t="shared" si="17"/>
        <v>-557.53650079928025</v>
      </c>
      <c r="G40" s="53">
        <f t="shared" si="17"/>
        <v>-1154.0805579274927</v>
      </c>
      <c r="H40" s="53">
        <f t="shared" si="17"/>
        <v>620.98605081995515</v>
      </c>
      <c r="I40" s="53">
        <f t="shared" si="17"/>
        <v>-1809.0752332134191</v>
      </c>
      <c r="J40" s="54">
        <f>SUM(B40:I40)</f>
        <v>-4122.9182231048944</v>
      </c>
      <c r="K40" s="55" t="s">
        <v>63</v>
      </c>
    </row>
    <row r="41" spans="1:11" ht="26.25" x14ac:dyDescent="0.25">
      <c r="A41" s="22" t="s">
        <v>64</v>
      </c>
      <c r="B41" s="52">
        <f t="shared" ref="B41:J41" si="18">B33+B38/(B28*B4*($J$12+$J$38)/$J$4)</f>
        <v>0.97260573215875079</v>
      </c>
      <c r="C41" s="52">
        <f t="shared" si="18"/>
        <v>0.83064067309826384</v>
      </c>
      <c r="D41" s="52">
        <f t="shared" si="18"/>
        <v>0.74171796336400742</v>
      </c>
      <c r="E41" s="52">
        <f t="shared" si="18"/>
        <v>0.59974787629222259</v>
      </c>
      <c r="F41" s="52">
        <f t="shared" si="18"/>
        <v>0.87866455452119374</v>
      </c>
      <c r="G41" s="52">
        <f t="shared" si="18"/>
        <v>0.87950904843373057</v>
      </c>
      <c r="H41" s="52">
        <f t="shared" si="18"/>
        <v>0.63245846507272041</v>
      </c>
      <c r="I41" s="52">
        <f t="shared" si="18"/>
        <v>0.98008611932971823</v>
      </c>
      <c r="J41" s="52">
        <f t="shared" si="18"/>
        <v>0.79036856816654721</v>
      </c>
      <c r="K41" s="56" t="s">
        <v>65</v>
      </c>
    </row>
    <row r="42" spans="1:11" ht="23.25" x14ac:dyDescent="0.25">
      <c r="A42" s="22" t="s">
        <v>66</v>
      </c>
      <c r="B42" s="52">
        <f t="shared" ref="B42:I42" si="19">($J$43/$J$4)*(1-B41)*B28*B4</f>
        <v>268.0796134210737</v>
      </c>
      <c r="C42" s="52">
        <f t="shared" si="19"/>
        <v>1734.3665672132524</v>
      </c>
      <c r="D42" s="52">
        <f t="shared" si="19"/>
        <v>1788.5715057937937</v>
      </c>
      <c r="E42" s="52">
        <f t="shared" si="19"/>
        <v>1736.8639081975059</v>
      </c>
      <c r="F42" s="52">
        <f t="shared" si="19"/>
        <v>691.78288935169462</v>
      </c>
      <c r="G42" s="52">
        <f t="shared" si="19"/>
        <v>1409.8242564483348</v>
      </c>
      <c r="H42" s="52">
        <f t="shared" si="19"/>
        <v>1398.2227883613505</v>
      </c>
      <c r="I42" s="52">
        <f t="shared" si="19"/>
        <v>180.84211841147498</v>
      </c>
      <c r="J42" s="52">
        <f>SUM(B42:I42)</f>
        <v>9208.5536471984815</v>
      </c>
      <c r="K42" s="8" t="s">
        <v>67</v>
      </c>
    </row>
    <row r="43" spans="1:11" x14ac:dyDescent="0.25">
      <c r="A43" s="55" t="s">
        <v>68</v>
      </c>
      <c r="B43" s="57">
        <v>10196.799999999999</v>
      </c>
      <c r="C43" s="57">
        <v>10015.299999999999</v>
      </c>
      <c r="D43" s="57">
        <v>4302.8999999999996</v>
      </c>
      <c r="E43" s="57">
        <v>2202.9</v>
      </c>
      <c r="F43" s="57">
        <v>4406.6000000000004</v>
      </c>
      <c r="G43" s="57">
        <v>10257.9</v>
      </c>
      <c r="H43" s="57">
        <v>1998.2</v>
      </c>
      <c r="I43" s="57">
        <v>8827.5</v>
      </c>
      <c r="J43" s="57">
        <f>SUM(B43:I43)</f>
        <v>52208.1</v>
      </c>
      <c r="K43" s="8"/>
    </row>
    <row r="44" spans="1:11" x14ac:dyDescent="0.25">
      <c r="A44" s="55" t="s">
        <v>69</v>
      </c>
      <c r="B44" s="52">
        <f t="shared" ref="B44:J44" si="20">B43/B4*1000</f>
        <v>1490.7602339181285</v>
      </c>
      <c r="C44" s="52">
        <f t="shared" si="20"/>
        <v>1588.7214467005076</v>
      </c>
      <c r="D44" s="52">
        <f t="shared" si="20"/>
        <v>977.48750567923662</v>
      </c>
      <c r="E44" s="52">
        <f t="shared" si="20"/>
        <v>1155.7712486883527</v>
      </c>
      <c r="F44" s="52">
        <f t="shared" si="20"/>
        <v>978.37477797513327</v>
      </c>
      <c r="G44" s="52">
        <f t="shared" si="20"/>
        <v>1984.1199226305607</v>
      </c>
      <c r="H44" s="52">
        <f t="shared" si="20"/>
        <v>820.95316351684471</v>
      </c>
      <c r="I44" s="52">
        <f t="shared" si="20"/>
        <v>2355.8847077662126</v>
      </c>
      <c r="J44" s="52">
        <f t="shared" si="20"/>
        <v>1478.6897782309456</v>
      </c>
      <c r="K44" s="58" t="s">
        <v>70</v>
      </c>
    </row>
    <row r="45" spans="1:11" x14ac:dyDescent="0.25">
      <c r="A45" s="20" t="s">
        <v>71</v>
      </c>
      <c r="B45" s="59">
        <f t="shared" ref="B45:J45" si="21">B11+B36</f>
        <v>2178.4139478471939</v>
      </c>
      <c r="C45" s="59">
        <f t="shared" si="21"/>
        <v>2705.7044301555925</v>
      </c>
      <c r="D45" s="59">
        <f t="shared" si="21"/>
        <v>2190.1987887516107</v>
      </c>
      <c r="E45" s="59">
        <f t="shared" si="21"/>
        <v>1473.5350892889464</v>
      </c>
      <c r="F45" s="59">
        <f t="shared" si="21"/>
        <v>1676.2547964229345</v>
      </c>
      <c r="G45" s="59">
        <f t="shared" si="21"/>
        <v>2213.094793339691</v>
      </c>
      <c r="H45" s="59">
        <f t="shared" si="21"/>
        <v>1448.7077571984187</v>
      </c>
      <c r="I45" s="59">
        <f t="shared" si="21"/>
        <v>1209.3003969956114</v>
      </c>
      <c r="J45" s="59">
        <f t="shared" si="21"/>
        <v>15095.21</v>
      </c>
      <c r="K45" s="8"/>
    </row>
    <row r="46" spans="1:11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2"/>
    </row>
    <row r="47" spans="1:11" x14ac:dyDescent="0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2"/>
    </row>
    <row r="48" spans="1:11" ht="15.75" x14ac:dyDescent="0.25">
      <c r="A48" s="63" t="s">
        <v>72</v>
      </c>
      <c r="B48" s="64"/>
      <c r="C48" s="63"/>
      <c r="D48" s="63"/>
      <c r="E48" s="63"/>
      <c r="F48" s="63"/>
      <c r="G48" s="63"/>
      <c r="H48" s="63"/>
      <c r="I48" s="63"/>
      <c r="J48" s="63"/>
      <c r="K48" s="63"/>
    </row>
    <row r="49" spans="1:11" x14ac:dyDescent="0.25">
      <c r="A49" s="62"/>
      <c r="B49" s="65"/>
      <c r="C49" s="62"/>
      <c r="D49" s="62"/>
      <c r="E49" s="62"/>
      <c r="F49" s="62"/>
      <c r="G49" s="62"/>
      <c r="H49" s="62"/>
      <c r="I49" s="62"/>
      <c r="J49" s="62"/>
      <c r="K49" s="62"/>
    </row>
    <row r="50" spans="1:11" x14ac:dyDescent="0.25">
      <c r="A50" s="62"/>
      <c r="B50" s="65"/>
      <c r="C50" s="62"/>
      <c r="D50" s="62"/>
      <c r="E50" s="62"/>
      <c r="F50" s="62"/>
      <c r="G50" s="62"/>
      <c r="H50" s="62"/>
      <c r="I50" s="62"/>
      <c r="J50" s="62"/>
      <c r="K50" s="62"/>
    </row>
    <row r="51" spans="1:11" x14ac:dyDescent="0.25">
      <c r="A51" s="62"/>
      <c r="B51" s="65"/>
      <c r="C51" s="62"/>
      <c r="D51" s="62"/>
      <c r="E51" s="62"/>
      <c r="F51" s="62"/>
      <c r="G51" s="62"/>
      <c r="H51" s="62"/>
      <c r="I51" s="62"/>
      <c r="J51" s="62"/>
      <c r="K51" s="62"/>
    </row>
    <row r="52" spans="1:11" x14ac:dyDescent="0.25">
      <c r="A52" s="62"/>
      <c r="B52" s="65"/>
      <c r="C52" s="62"/>
      <c r="D52" s="62"/>
      <c r="E52" s="62"/>
      <c r="F52" s="62"/>
      <c r="G52" s="62"/>
      <c r="H52" s="62"/>
      <c r="I52" s="62"/>
      <c r="J52" s="62"/>
      <c r="K52" s="62"/>
    </row>
    <row r="53" spans="1:11" x14ac:dyDescent="0.25">
      <c r="A53" s="66" t="s">
        <v>73</v>
      </c>
      <c r="B53" s="65"/>
      <c r="C53" s="62"/>
      <c r="D53" s="62"/>
      <c r="E53" s="62"/>
      <c r="F53" s="62"/>
      <c r="G53" s="62"/>
      <c r="H53" s="62"/>
      <c r="I53" s="62"/>
      <c r="J53" s="62"/>
      <c r="K53" s="62"/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2018-06-27T07:42:18Z</dcterms:modified>
</cp:coreProperties>
</file>